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1"/>
  </bookViews>
  <sheets>
    <sheet name="Plo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<sst xmlns="http://schemas.openxmlformats.org/spreadsheetml/2006/main" count="62" uniqueCount="58">
  <si>
    <t>Input Data:</t>
  </si>
  <si>
    <t xml:space="preserve"> in</t>
  </si>
  <si>
    <t xml:space="preserve"> ft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</si>
  <si>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</si>
  <si>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</si>
  <si>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 xml:space="preserve"> Mscf/d</t>
  </si>
  <si>
    <t>Solution: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</si>
  <si>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</si>
  <si>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 xml:space="preserve"> Deg</t>
  </si>
  <si>
    <t>AOF =</t>
  </si>
  <si>
    <r>
      <t xml:space="preserve"> Mscf/d-psi</t>
    </r>
    <r>
      <rPr>
        <vertAlign val="superscript"/>
        <sz val="10"/>
        <rFont val="Arial"/>
        <family val="2"/>
      </rPr>
      <t>2n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</si>
  <si>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(Mscf/d)</t>
    </r>
  </si>
  <si>
    <r>
      <t>Z</t>
    </r>
    <r>
      <rPr>
        <vertAlign val="subscript"/>
        <sz val="10"/>
        <rFont val="Arial"/>
        <family val="2"/>
      </rPr>
      <t>av =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</si>
  <si>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=</t>
    </r>
  </si>
  <si>
    <t>s =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</si>
  <si>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</si>
  <si>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>e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</si>
  <si>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Objective Function:</t>
  </si>
  <si>
    <r>
      <t>p</t>
    </r>
    <r>
      <rPr>
        <vertAlign val="subscript"/>
        <sz val="10"/>
        <rFont val="Arial"/>
        <family val="2"/>
      </rPr>
      <t>pc</t>
    </r>
  </si>
  <si>
    <t>psia</t>
  </si>
  <si>
    <r>
      <t>T</t>
    </r>
    <r>
      <rPr>
        <vertAlign val="subscript"/>
        <sz val="10"/>
        <rFont val="Arial"/>
        <family val="2"/>
      </rPr>
      <t>pc</t>
    </r>
  </si>
  <si>
    <r>
      <t>T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</si>
  <si>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p</t>
    </r>
    <r>
      <rPr>
        <vertAlign val="subscript"/>
        <sz val="10"/>
        <rFont val="Arial"/>
        <family val="2"/>
      </rPr>
      <t xml:space="preserve">av </t>
    </r>
    <r>
      <rPr>
        <sz val="10"/>
        <rFont val="Arial"/>
        <family val="2"/>
      </rPr>
      <t>(psia)</t>
    </r>
  </si>
  <si>
    <r>
      <t>p</t>
    </r>
    <r>
      <rPr>
        <vertAlign val="subscript"/>
        <sz val="10"/>
        <rFont val="Arial"/>
        <family val="2"/>
      </rPr>
      <t xml:space="preserve">pr </t>
    </r>
  </si>
  <si>
    <r>
      <t>T</t>
    </r>
    <r>
      <rPr>
        <vertAlign val="subscript"/>
        <sz val="10"/>
        <rFont val="Arial"/>
        <family val="2"/>
      </rPr>
      <t>pr</t>
    </r>
  </si>
  <si>
    <t>A</t>
  </si>
  <si>
    <t>B</t>
  </si>
  <si>
    <t>C</t>
  </si>
  <si>
    <t>D</t>
  </si>
  <si>
    <t>Tubing inside diameter (D):</t>
  </si>
  <si>
    <r>
      <t>Tubing relative roughness</t>
    </r>
    <r>
      <rPr>
        <sz val="10"/>
        <rFont val="Symbol"/>
        <family val="1"/>
      </rPr>
      <t xml:space="preserve"> (e/</t>
    </r>
    <r>
      <rPr>
        <sz val="10"/>
        <rFont val="Arial"/>
        <family val="2"/>
      </rPr>
      <t>D):</t>
    </r>
  </si>
  <si>
    <t>Measured depth at tubing shoe (L):</t>
  </si>
  <si>
    <r>
      <t>Inclination angle</t>
    </r>
    <r>
      <rPr>
        <sz val="10"/>
        <rFont val="Symbol"/>
        <family val="1"/>
      </rPr>
      <t xml:space="preserve"> (q):</t>
    </r>
  </si>
  <si>
    <r>
      <t>Wellhead temperature (T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):</t>
    </r>
  </si>
  <si>
    <t>Reservoir pressure (p~):</t>
  </si>
  <si>
    <t>C-constant in backpressure IPR model:</t>
  </si>
  <si>
    <t>n-exponent in backpressure IPR model:</t>
  </si>
  <si>
    <t>Operating flowrate =</t>
  </si>
  <si>
    <t>Operating pressure =</t>
  </si>
  <si>
    <t>Residual of objective function =</t>
  </si>
  <si>
    <t>WellheadNodal.xls</t>
  </si>
  <si>
    <t>This spreadsheet calculates well deliverability with wellhead node.</t>
  </si>
  <si>
    <t xml:space="preserve"> in.</t>
  </si>
  <si>
    <r>
      <t>Flowline diameter (D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0"/>
      </rPr>
      <t>):</t>
    </r>
  </si>
  <si>
    <t>Gas specific heat ratio (k):</t>
  </si>
  <si>
    <r>
      <t>Wellhead choke size (D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>):</t>
    </r>
  </si>
  <si>
    <r>
      <t>D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>/D</t>
    </r>
    <r>
      <rPr>
        <vertAlign val="subscript"/>
        <sz val="10"/>
        <rFont val="Arial"/>
        <family val="2"/>
      </rPr>
      <t>fl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</si>
  <si>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=</t>
    </r>
  </si>
  <si>
    <t>Re =</t>
  </si>
  <si>
    <r>
      <t>Gas viscosity at wellhead (</t>
    </r>
    <r>
      <rPr>
        <sz val="10"/>
        <rFont val="Symbol"/>
        <family val="1"/>
      </rPr>
      <t>m</t>
    </r>
    <r>
      <rPr>
        <sz val="10"/>
        <rFont val="Arial"/>
        <family val="0"/>
      </rPr>
      <t>):</t>
    </r>
  </si>
  <si>
    <t xml:space="preserve"> cp</t>
  </si>
  <si>
    <t>WPR</t>
  </si>
  <si>
    <t>CPR</t>
  </si>
  <si>
    <r>
      <t>A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=</t>
    </r>
  </si>
  <si>
    <r>
      <t xml:space="preserve"> in</t>
    </r>
    <r>
      <rPr>
        <vertAlign val="superscript"/>
        <sz val="10"/>
        <rFont val="Arial"/>
        <family val="2"/>
      </rPr>
      <t>2</t>
    </r>
  </si>
  <si>
    <r>
      <t>Gas specific gravity</t>
    </r>
    <r>
      <rPr>
        <sz val="10"/>
        <rFont val="Symbol"/>
        <family val="1"/>
      </rPr>
      <t xml:space="preserve"> (g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</si>
  <si>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t xml:space="preserve"> 1/64 in.</t>
  </si>
  <si>
    <r>
      <t>Bottom hole temperature (T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</si>
</sst>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.75"/>
      <name val="Arial"/>
      <family val="0"/>
    </font>
    <font>
      <sz val="10"/>
      <color indexed="10"/>
      <name val="Arial"/>
      <family val="2"/>
    </font>
    <font>
      <sz val="10"/>
      <name val="@Arial Unicode MS"/>
      <family val="2"/>
    </font>
    <font>
      <sz val="15.5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7" fontId="9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7" fontId="9" fillId="0" borderId="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8"/>
          <c:w val="0.964"/>
          <c:h val="0.918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WPR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Sheet1!$A$36:$A$49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Sheet1!$B$36:$B$49</c:f>
              <c:numCache>
                <c:ptCount val="14"/>
                <c:pt idx="0">
                  <c:v>1564.319959180592</c:v>
                </c:pt>
                <c:pt idx="1">
                  <c:v>1519.699500629292</c:v>
                </c:pt>
                <c:pt idx="2">
                  <c:v>1455.9541439990148</c:v>
                </c:pt>
                <c:pt idx="3">
                  <c:v>1379.7755832247137</c:v>
                </c:pt>
                <c:pt idx="4">
                  <c:v>1291.7643849275835</c:v>
                </c:pt>
                <c:pt idx="5">
                  <c:v>1190.8901815638771</c:v>
                </c:pt>
                <c:pt idx="6">
                  <c:v>1074.646499210094</c:v>
                </c:pt>
                <c:pt idx="7">
                  <c:v>938.2219532467622</c:v>
                </c:pt>
                <c:pt idx="8">
                  <c:v>771.7770694779972</c:v>
                </c:pt>
                <c:pt idx="9">
                  <c:v>549.5125026854702</c:v>
                </c:pt>
                <c:pt idx="10">
                  <c:v>389.8407057064109</c:v>
                </c:pt>
                <c:pt idx="11">
                  <c:v>276.1002480743635</c:v>
                </c:pt>
                <c:pt idx="12">
                  <c:v>195.3867004644849</c:v>
                </c:pt>
                <c:pt idx="13">
                  <c:v>0.791583099870321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CPR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Sheet1!$A$36:$A$49</c:f>
              <c:numCache>
                <c:ptCount val="14"/>
                <c:pt idx="0">
                  <c:v>0</c:v>
                </c:pt>
                <c:pt idx="1">
                  <c:v>191.2704999580075</c:v>
                </c:pt>
                <c:pt idx="2">
                  <c:v>382.540999916015</c:v>
                </c:pt>
                <c:pt idx="3">
                  <c:v>573.8114998740225</c:v>
                </c:pt>
                <c:pt idx="4">
                  <c:v>765.08199983203</c:v>
                </c:pt>
                <c:pt idx="5">
                  <c:v>956.3524997900374</c:v>
                </c:pt>
                <c:pt idx="6">
                  <c:v>1147.622999748045</c:v>
                </c:pt>
                <c:pt idx="7">
                  <c:v>1338.8934997060526</c:v>
                </c:pt>
                <c:pt idx="8">
                  <c:v>1530.1639996640602</c:v>
                </c:pt>
                <c:pt idx="9">
                  <c:v>1721.4344996220677</c:v>
                </c:pt>
                <c:pt idx="10">
                  <c:v>1817.0697496010714</c:v>
                </c:pt>
                <c:pt idx="11">
                  <c:v>1864.8873745905732</c:v>
                </c:pt>
                <c:pt idx="12">
                  <c:v>1888.7961870853242</c:v>
                </c:pt>
                <c:pt idx="13">
                  <c:v>1912.7049995800749</c:v>
                </c:pt>
              </c:numCache>
            </c:numRef>
          </c:xVal>
          <c:yVal>
            <c:numRef>
              <c:f>Sheet1!$C$36:$C$49</c:f>
              <c:numCache>
                <c:ptCount val="14"/>
                <c:pt idx="0">
                  <c:v>0</c:v>
                </c:pt>
                <c:pt idx="1">
                  <c:v>106.33951804829034</c:v>
                </c:pt>
                <c:pt idx="2">
                  <c:v>212.6790360965807</c:v>
                </c:pt>
                <c:pt idx="3">
                  <c:v>319.018554144871</c:v>
                </c:pt>
                <c:pt idx="4">
                  <c:v>425.3580721931614</c:v>
                </c:pt>
                <c:pt idx="5">
                  <c:v>531.6975902414516</c:v>
                </c:pt>
                <c:pt idx="6">
                  <c:v>638.037108289742</c:v>
                </c:pt>
                <c:pt idx="7">
                  <c:v>744.3766263380323</c:v>
                </c:pt>
                <c:pt idx="8">
                  <c:v>850.7161443863229</c:v>
                </c:pt>
                <c:pt idx="9">
                  <c:v>957.0556624346133</c:v>
                </c:pt>
                <c:pt idx="10">
                  <c:v>1010.2254214587584</c:v>
                </c:pt>
                <c:pt idx="11">
                  <c:v>1036.8103009708311</c:v>
                </c:pt>
                <c:pt idx="12">
                  <c:v>1050.102740726867</c:v>
                </c:pt>
                <c:pt idx="13">
                  <c:v>1063.3951804829032</c:v>
                </c:pt>
              </c:numCache>
            </c:numRef>
          </c:yVal>
          <c:smooth val="1"/>
        </c:ser>
        <c:axId val="8676708"/>
        <c:axId val="10981509"/>
      </c:scatterChart>
      <c:valAx>
        <c:axId val="867670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Gas Production Rate (Mscf/d)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crossBetween val="midCat"/>
        <c:dispUnits/>
      </c:val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Wellhead 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125"/>
          <c:w val="0.1015"/>
          <c:h val="0.130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104775</xdr:rowOff>
    </xdr:from>
    <xdr:to>
      <xdr:col>1</xdr:col>
      <xdr:colOff>952500</xdr:colOff>
      <xdr:row>2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428625"/>
          <a:ext cx="3143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section;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results;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3: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 in table and in graph sheet "Plot".</a:t>
          </a:r>
        </a:p>
      </xdr:txBody>
    </xdr:sp>
    <xdr:clientData/>
  </xdr:twoCellAnchor>
  <xdr:twoCellAnchor>
    <xdr:from>
      <xdr:col>4</xdr:col>
      <xdr:colOff>57150</xdr:colOff>
      <xdr:row>38</xdr:row>
      <xdr:rowOff>123825</xdr:rowOff>
    </xdr:from>
    <xdr:to>
      <xdr:col>6</xdr:col>
      <xdr:colOff>914400</xdr:colOff>
      <xdr:row>41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686675"/>
          <a:ext cx="2800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4.28125" style="0" customWidth="1"/>
    <col min="2" max="2" width="24.28125" style="0" customWidth="1"/>
    <col min="3" max="3" width="11.8515625" style="0" customWidth="1"/>
    <col min="4" max="4" width="16.140625" style="0" customWidth="1"/>
    <col min="5" max="5" width="16.57421875" style="0" customWidth="1"/>
    <col min="6" max="6" width="12.57421875" style="0" bestFit="1" customWidth="1"/>
    <col min="7" max="7" width="20.140625" style="0" customWidth="1"/>
    <col min="9" max="11" width="9.140625" style="1" customWidth="1"/>
  </cols>
  <sheetData>
    <row r="1" spans="1:4" ht="12.75">
      <c r="A1" s="8" t="s">
        <v>40</v>
      </c>
      <c r="B1" s="9"/>
      <c r="C1" s="10"/>
      <c r="D1" s="2"/>
    </row>
    <row r="2" spans="1:4" ht="12.75">
      <c r="A2" s="11" t="s">
        <v>41</v>
      </c>
      <c r="B2" s="2"/>
      <c r="C2" s="12"/>
      <c r="D2" s="2"/>
    </row>
    <row r="3" spans="1:4" ht="75" customHeight="1">
      <c r="A3" s="13"/>
      <c r="B3" s="2"/>
      <c r="C3" s="12"/>
      <c r="D3" s="2"/>
    </row>
    <row r="4" spans="1:4" ht="12.75">
      <c r="A4" s="11" t="s">
        <v>0</v>
      </c>
      <c r="B4" s="2"/>
      <c r="C4" s="12"/>
      <c r="D4" s="2"/>
    </row>
    <row r="5" spans="1:10" ht="15.75">
      <c r="A5" s="13"/>
      <c r="B5" s="2"/>
      <c r="C5" s="12"/>
      <c r="D5" s="2"/>
      <c r="H5" t="s">
        <v>18</v>
      </c>
      <c r="I5" s="1">
        <f>677+15*B6-37.5*B6^2</f>
        <v>667.15625</v>
      </c>
      <c r="J5" s="1" t="s">
        <v>19</v>
      </c>
    </row>
    <row r="6" spans="1:10" ht="15.75">
      <c r="A6" s="14" t="s">
        <v>55</v>
      </c>
      <c r="B6" s="2">
        <v>0.75</v>
      </c>
      <c r="C6" s="12"/>
      <c r="D6" s="2"/>
      <c r="H6" t="s">
        <v>20</v>
      </c>
      <c r="I6" s="1">
        <f>168+325*B6-12.5*B6^2</f>
        <v>404.71875</v>
      </c>
      <c r="J6" s="1" t="s">
        <v>7</v>
      </c>
    </row>
    <row r="7" spans="1:4" ht="12.75">
      <c r="A7" s="15" t="s">
        <v>29</v>
      </c>
      <c r="B7" s="2">
        <v>2.259</v>
      </c>
      <c r="C7" s="12" t="s">
        <v>1</v>
      </c>
      <c r="D7" s="2"/>
    </row>
    <row r="8" spans="1:4" ht="15">
      <c r="A8" s="14" t="s">
        <v>30</v>
      </c>
      <c r="B8" s="2">
        <v>0.0006</v>
      </c>
      <c r="C8" s="12"/>
      <c r="D8" s="2"/>
    </row>
    <row r="9" spans="1:4" ht="12.75">
      <c r="A9" s="15" t="s">
        <v>31</v>
      </c>
      <c r="B9" s="2">
        <v>8000</v>
      </c>
      <c r="C9" s="12" t="s">
        <v>2</v>
      </c>
      <c r="D9" s="2"/>
    </row>
    <row r="10" spans="1:4" ht="15">
      <c r="A10" s="14" t="s">
        <v>32</v>
      </c>
      <c r="B10" s="2">
        <v>0</v>
      </c>
      <c r="C10" s="12" t="s">
        <v>8</v>
      </c>
      <c r="D10" s="2"/>
    </row>
    <row r="11" spans="1:4" ht="15.75">
      <c r="A11" s="15" t="s">
        <v>45</v>
      </c>
      <c r="B11" s="2">
        <v>24</v>
      </c>
      <c r="C11" s="12" t="s">
        <v>56</v>
      </c>
      <c r="D11" s="2"/>
    </row>
    <row r="12" spans="1:4" ht="15.75">
      <c r="A12" s="15" t="s">
        <v>43</v>
      </c>
      <c r="B12" s="25">
        <v>2</v>
      </c>
      <c r="C12" s="12" t="s">
        <v>42</v>
      </c>
      <c r="D12" s="2"/>
    </row>
    <row r="13" spans="1:4" ht="12.75">
      <c r="A13" s="15" t="s">
        <v>44</v>
      </c>
      <c r="B13" s="25">
        <v>1.3</v>
      </c>
      <c r="C13" s="12"/>
      <c r="D13" s="2"/>
    </row>
    <row r="14" spans="1:4" ht="12.75">
      <c r="A14" s="15" t="s">
        <v>49</v>
      </c>
      <c r="B14" s="25">
        <v>0.01</v>
      </c>
      <c r="C14" s="12" t="s">
        <v>50</v>
      </c>
      <c r="D14" s="2"/>
    </row>
    <row r="15" spans="1:4" ht="15.75">
      <c r="A15" s="15" t="s">
        <v>33</v>
      </c>
      <c r="B15" s="2">
        <v>120</v>
      </c>
      <c r="C15" s="12" t="s">
        <v>4</v>
      </c>
      <c r="D15" s="2"/>
    </row>
    <row r="16" spans="1:4" ht="15.75">
      <c r="A16" s="15" t="s">
        <v>57</v>
      </c>
      <c r="B16" s="2">
        <v>180</v>
      </c>
      <c r="C16" s="12" t="s">
        <v>4</v>
      </c>
      <c r="D16" s="2"/>
    </row>
    <row r="17" spans="1:4" ht="12.75">
      <c r="A17" s="15" t="s">
        <v>34</v>
      </c>
      <c r="B17" s="2">
        <v>2000</v>
      </c>
      <c r="C17" s="12" t="s">
        <v>3</v>
      </c>
      <c r="D17" s="2"/>
    </row>
    <row r="18" spans="1:4" ht="14.25">
      <c r="A18" s="15" t="s">
        <v>35</v>
      </c>
      <c r="B18" s="2">
        <v>0.01</v>
      </c>
      <c r="C18" s="16" t="s">
        <v>10</v>
      </c>
      <c r="D18" s="2"/>
    </row>
    <row r="19" spans="1:4" ht="12.75">
      <c r="A19" s="15" t="s">
        <v>36</v>
      </c>
      <c r="B19" s="2">
        <v>0.8</v>
      </c>
      <c r="C19" s="12"/>
      <c r="D19" s="2"/>
    </row>
    <row r="20" spans="1:4" ht="12.75">
      <c r="A20" s="13"/>
      <c r="B20" s="2"/>
      <c r="C20" s="12"/>
      <c r="D20" s="2"/>
    </row>
    <row r="21" spans="1:4" ht="12.75">
      <c r="A21" s="18" t="s">
        <v>6</v>
      </c>
      <c r="B21" s="2"/>
      <c r="C21" s="12"/>
      <c r="D21" s="2"/>
    </row>
    <row r="22" spans="1:15" ht="7.5" customHeight="1">
      <c r="A22" s="18"/>
      <c r="B22" s="2"/>
      <c r="C22" s="12"/>
      <c r="D22" s="2"/>
      <c r="H22" s="1" t="s">
        <v>21</v>
      </c>
      <c r="I22" s="1" t="s">
        <v>22</v>
      </c>
      <c r="J22" s="1" t="s">
        <v>23</v>
      </c>
      <c r="K22" s="1" t="s">
        <v>24</v>
      </c>
      <c r="L22" s="1" t="s">
        <v>25</v>
      </c>
      <c r="M22" s="1" t="s">
        <v>26</v>
      </c>
      <c r="N22" s="1" t="s">
        <v>27</v>
      </c>
      <c r="O22" s="1" t="s">
        <v>28</v>
      </c>
    </row>
    <row r="23" spans="1:4" ht="15.75">
      <c r="A23" s="17" t="s">
        <v>13</v>
      </c>
      <c r="B23" s="3">
        <f>(B15+B16)/2+460</f>
        <v>610</v>
      </c>
      <c r="C23" s="12" t="s">
        <v>7</v>
      </c>
      <c r="D23" s="2"/>
    </row>
    <row r="24" spans="1:15" ht="13.5" customHeight="1">
      <c r="A24" s="17" t="s">
        <v>12</v>
      </c>
      <c r="B24" s="26">
        <f>L24+(1-L24)/EXP(M24)+N24*J24^O24</f>
        <v>0.8628668369627842</v>
      </c>
      <c r="C24" s="12"/>
      <c r="D24" s="2"/>
      <c r="H24" s="1">
        <f>B23</f>
        <v>610</v>
      </c>
      <c r="I24" s="1">
        <f>(B17+B11)/2</f>
        <v>1012</v>
      </c>
      <c r="J24" s="1">
        <f>I24/I$5</f>
        <v>1.5168860368167127</v>
      </c>
      <c r="K24" s="1">
        <f>H24/I$6</f>
        <v>1.5072195197282063</v>
      </c>
      <c r="L24">
        <f>1.39*(K24-0.92)^0.5-0.36*K24-0.101</f>
        <v>0.4215614462852445</v>
      </c>
      <c r="M24">
        <f>(0.62-0.23*K24)*J24+(0.066/(K24-0.86)-0.037)*J24^2+0.32/10^(9*(K24-1))*J24^6</f>
        <v>0.5642340690376596</v>
      </c>
      <c r="N24">
        <f>0.132-0.32*LOG(K24)</f>
        <v>0.07498351681448226</v>
      </c>
      <c r="O24">
        <f>10^(0.3106-0.49*K24+0.1824*K24^2)</f>
        <v>0.9692202146773146</v>
      </c>
    </row>
    <row r="25" spans="1:4" ht="13.5" customHeight="1">
      <c r="A25" s="17" t="s">
        <v>14</v>
      </c>
      <c r="B25" s="26">
        <f>0.0375*B6*B9*COS(B10/57.3)/B24/B23</f>
        <v>0.42747321280155093</v>
      </c>
      <c r="C25" s="12"/>
      <c r="D25" s="2"/>
    </row>
    <row r="26" spans="1:11" ht="13.5" customHeight="1">
      <c r="A26" s="17" t="s">
        <v>16</v>
      </c>
      <c r="B26" s="26">
        <f>EXP(B25)</f>
        <v>1.533378104214677</v>
      </c>
      <c r="C26" s="12"/>
      <c r="D26" s="2"/>
      <c r="E26" s="1"/>
      <c r="F26" s="1"/>
      <c r="G26" s="1"/>
      <c r="H26" s="1"/>
      <c r="I26"/>
      <c r="J26"/>
      <c r="K26"/>
    </row>
    <row r="27" spans="1:11" ht="18" customHeight="1">
      <c r="A27" s="19" t="s">
        <v>15</v>
      </c>
      <c r="B27" s="26">
        <f>(1/(1.74-2*LOG(2*B8)))^2</f>
        <v>0.017396984145081704</v>
      </c>
      <c r="C27" s="12"/>
      <c r="D27" s="2"/>
      <c r="E27" s="1"/>
      <c r="F27" s="1"/>
      <c r="G27" s="1"/>
      <c r="H27" s="1"/>
      <c r="I27"/>
      <c r="J27"/>
      <c r="K27"/>
    </row>
    <row r="28" spans="1:11" ht="18" customHeight="1">
      <c r="A28" s="19" t="s">
        <v>9</v>
      </c>
      <c r="B28" s="27">
        <f>B18*(B17^2)^B19</f>
        <v>1912.7049995800749</v>
      </c>
      <c r="C28" s="12" t="s">
        <v>5</v>
      </c>
      <c r="D28" s="2"/>
      <c r="E28" s="1"/>
      <c r="F28" s="1"/>
      <c r="G28" s="1"/>
      <c r="H28" s="1"/>
      <c r="I28"/>
      <c r="J28"/>
      <c r="K28"/>
    </row>
    <row r="29" spans="1:11" ht="18" customHeight="1">
      <c r="A29" s="19" t="s">
        <v>46</v>
      </c>
      <c r="B29" s="3">
        <f>B11/64/B12</f>
        <v>0.1875</v>
      </c>
      <c r="C29" s="12"/>
      <c r="D29" s="2"/>
      <c r="E29" s="1"/>
      <c r="F29" s="1"/>
      <c r="G29" s="1"/>
      <c r="H29" s="1"/>
      <c r="I29"/>
      <c r="J29"/>
      <c r="K29"/>
    </row>
    <row r="30" spans="1:11" ht="18" customHeight="1">
      <c r="A30" s="19" t="s">
        <v>48</v>
      </c>
      <c r="B30" s="27">
        <f>20*B51*B6/B14/(B11/64)</f>
        <v>6929129.847990391</v>
      </c>
      <c r="C30" s="12"/>
      <c r="D30" s="2"/>
      <c r="E30" s="1"/>
      <c r="F30" s="1"/>
      <c r="G30" s="1"/>
      <c r="H30" s="1"/>
      <c r="I30"/>
      <c r="J30"/>
      <c r="K30"/>
    </row>
    <row r="31" spans="1:11" ht="18" customHeight="1">
      <c r="A31" s="19" t="s">
        <v>47</v>
      </c>
      <c r="B31" s="26">
        <f>B29+0.3167/B29^0.6+0.025*(LOG(B30)-4)</f>
        <v>1.1231808131744756</v>
      </c>
      <c r="C31" s="12" t="s">
        <v>54</v>
      </c>
      <c r="D31" s="2"/>
      <c r="E31" s="1"/>
      <c r="F31" s="1"/>
      <c r="G31" s="1"/>
      <c r="H31" s="1"/>
      <c r="I31"/>
      <c r="J31"/>
      <c r="K31"/>
    </row>
    <row r="32" spans="1:11" ht="18" customHeight="1">
      <c r="A32" s="19" t="s">
        <v>53</v>
      </c>
      <c r="B32" s="3">
        <f>3.14/4*(B11/64)^2</f>
        <v>0.110390625</v>
      </c>
      <c r="C32" s="12"/>
      <c r="D32" s="2"/>
      <c r="E32" s="1"/>
      <c r="F32" s="1"/>
      <c r="G32" s="1"/>
      <c r="H32" s="1"/>
      <c r="I32"/>
      <c r="J32"/>
      <c r="K32"/>
    </row>
    <row r="33" spans="1:11" ht="12.75">
      <c r="A33" s="13"/>
      <c r="B33" s="2"/>
      <c r="C33" s="12"/>
      <c r="D33" s="2"/>
      <c r="E33" s="1"/>
      <c r="F33" s="1"/>
      <c r="G33" s="1"/>
      <c r="H33" s="1"/>
      <c r="I33"/>
      <c r="J33"/>
      <c r="K33"/>
    </row>
    <row r="34" spans="1:15" ht="15.75">
      <c r="A34" s="17" t="s">
        <v>11</v>
      </c>
      <c r="B34" s="5" t="s">
        <v>51</v>
      </c>
      <c r="C34" s="20" t="s">
        <v>52</v>
      </c>
      <c r="D34" s="2" t="s">
        <v>17</v>
      </c>
      <c r="E34" s="1"/>
      <c r="F34" s="1"/>
      <c r="G34" s="1"/>
      <c r="H34" s="1"/>
      <c r="I34"/>
      <c r="J34"/>
      <c r="K34"/>
      <c r="M34" s="1"/>
      <c r="N34" s="1"/>
      <c r="O34" s="1"/>
    </row>
    <row r="35" spans="1:11" ht="3" customHeight="1">
      <c r="A35" s="13"/>
      <c r="B35" s="2"/>
      <c r="C35" s="12"/>
      <c r="D35" s="2"/>
      <c r="E35" s="1"/>
      <c r="F35" s="1"/>
      <c r="G35" s="1"/>
      <c r="H35" s="1"/>
      <c r="I35"/>
      <c r="J35"/>
      <c r="K35"/>
    </row>
    <row r="36" spans="1:11" ht="12.75">
      <c r="A36" s="13">
        <v>0</v>
      </c>
      <c r="B36" s="6">
        <v>1599.9868957745284</v>
      </c>
      <c r="C36" s="21">
        <f>A36/879/B$31/B$32/SQRT((B$13/B$6/(B$15+460))*(2/(B$13+1))^((B$13+1)/(B$13-1)))</f>
        <v>0</v>
      </c>
      <c r="D36" s="28">
        <f>A36-B$18*(B$17^2-(B$26*B36^2+(6.67/10000*(B$26-1)*B$27*B36^2*B$24^2*B$23^2)/(B$7^5*COS(B$10/57.3))))^B$19</f>
        <v>-0.00041858291314446783</v>
      </c>
      <c r="E36" s="4"/>
      <c r="F36" s="4"/>
      <c r="G36" s="4"/>
      <c r="H36" s="1"/>
      <c r="I36"/>
      <c r="J36"/>
      <c r="K36"/>
    </row>
    <row r="37" spans="1:11" ht="12.75">
      <c r="A37" s="22">
        <f aca="true" t="shared" si="0" ref="A37:A45">A36+B$28/10</f>
        <v>191.2704999580075</v>
      </c>
      <c r="B37" s="6">
        <v>1554.348886726892</v>
      </c>
      <c r="C37" s="21">
        <f>A37/879/B$31/B$32/SQRT((B$13/B$6/(B$15+460))*(2/(B$13+1))^((B$13+1)/(B$13-1)))</f>
        <v>54.85614151407175</v>
      </c>
      <c r="D37" s="28">
        <f aca="true" t="shared" si="1" ref="D37:D49">A37-B$18*(B$17^2-(B$26*B37^2+(6.67/10000*(B$26-1)*B$27*B37^2*B$24^2*B$23^2)/(B$7^5*COS(B$10/57.3))))^B$19</f>
        <v>-0.0006327133580441568</v>
      </c>
      <c r="E37" s="1"/>
      <c r="F37" s="1"/>
      <c r="G37" s="1"/>
      <c r="H37" s="1"/>
      <c r="I37"/>
      <c r="J37"/>
      <c r="K37"/>
    </row>
    <row r="38" spans="1:11" ht="12.75">
      <c r="A38" s="22">
        <f t="shared" si="0"/>
        <v>382.540999916015</v>
      </c>
      <c r="B38" s="6">
        <v>1489.1502988151608</v>
      </c>
      <c r="C38" s="21">
        <f aca="true" t="shared" si="2" ref="C38:C49">A38/879/B$31/B$32/SQRT((B$13/B$6/(B$15+460))*(2/(B$13+1))^((B$13+1)/(B$13-1)))</f>
        <v>109.7122830281435</v>
      </c>
      <c r="D38" s="28">
        <f t="shared" si="1"/>
        <v>-3.310843709414257E-05</v>
      </c>
      <c r="E38" s="1"/>
      <c r="F38" s="1"/>
      <c r="G38" s="1"/>
      <c r="H38" s="1"/>
      <c r="I38"/>
      <c r="J38"/>
      <c r="K38"/>
    </row>
    <row r="39" spans="1:11" ht="12.75">
      <c r="A39" s="22">
        <f t="shared" si="0"/>
        <v>573.8114998740225</v>
      </c>
      <c r="B39" s="6">
        <v>1411.2348440256753</v>
      </c>
      <c r="C39" s="21">
        <f t="shared" si="2"/>
        <v>164.5684245422153</v>
      </c>
      <c r="D39" s="28">
        <f t="shared" si="1"/>
        <v>-6.04134527293354E-06</v>
      </c>
      <c r="E39" s="1"/>
      <c r="F39" s="1"/>
      <c r="G39" s="1"/>
      <c r="H39" s="1"/>
      <c r="I39"/>
      <c r="J39"/>
      <c r="K39"/>
    </row>
    <row r="40" spans="1:11" ht="12.75">
      <c r="A40" s="22">
        <f t="shared" si="0"/>
        <v>765.08199983203</v>
      </c>
      <c r="B40" s="6">
        <v>1321.2169335618141</v>
      </c>
      <c r="C40" s="21">
        <f t="shared" si="2"/>
        <v>219.424566056287</v>
      </c>
      <c r="D40" s="28">
        <f t="shared" si="1"/>
        <v>-1.8572915223558084E-06</v>
      </c>
      <c r="F40" s="1"/>
      <c r="G40" s="1"/>
      <c r="H40" s="1"/>
      <c r="I40"/>
      <c r="J40"/>
      <c r="K40"/>
    </row>
    <row r="41" spans="1:8" ht="12.75">
      <c r="A41" s="22">
        <f t="shared" si="0"/>
        <v>956.3524997900374</v>
      </c>
      <c r="B41" s="6">
        <v>1218.0428120141994</v>
      </c>
      <c r="C41" s="21">
        <f t="shared" si="2"/>
        <v>274.28070757035874</v>
      </c>
      <c r="D41" s="28">
        <f t="shared" si="1"/>
        <v>-7.465529279215843E-07</v>
      </c>
      <c r="E41" s="1"/>
      <c r="F41" s="1"/>
      <c r="G41" s="1"/>
      <c r="H41" s="1"/>
    </row>
    <row r="42" spans="1:8" ht="12.75">
      <c r="A42" s="22">
        <f t="shared" si="0"/>
        <v>1147.622999748045</v>
      </c>
      <c r="B42" s="6">
        <v>1099.1490289149658</v>
      </c>
      <c r="C42" s="21">
        <f t="shared" si="2"/>
        <v>329.1368490844306</v>
      </c>
      <c r="D42" s="28">
        <f t="shared" si="1"/>
        <v>-3.458976607362274E-07</v>
      </c>
      <c r="E42" s="1"/>
      <c r="F42" s="1"/>
      <c r="G42" s="1"/>
      <c r="H42" s="1"/>
    </row>
    <row r="43" spans="1:8" ht="12.75">
      <c r="A43" s="22">
        <f t="shared" si="0"/>
        <v>1338.8934997060526</v>
      </c>
      <c r="B43" s="6">
        <v>959.613596786894</v>
      </c>
      <c r="C43" s="21">
        <f t="shared" si="2"/>
        <v>383.9929905985023</v>
      </c>
      <c r="D43" s="28">
        <f t="shared" si="1"/>
        <v>-1.6966305338428356E-07</v>
      </c>
      <c r="E43" s="1"/>
      <c r="F43" s="1"/>
      <c r="G43" s="1"/>
      <c r="H43" s="1"/>
    </row>
    <row r="44" spans="1:8" ht="12.75">
      <c r="A44" s="22">
        <f t="shared" si="0"/>
        <v>1530.1639996640602</v>
      </c>
      <c r="B44" s="6">
        <v>789.3728947819393</v>
      </c>
      <c r="C44" s="21">
        <f t="shared" si="2"/>
        <v>438.8491321125741</v>
      </c>
      <c r="D44" s="28">
        <f t="shared" si="1"/>
        <v>-0.0008935760549775296</v>
      </c>
      <c r="E44" s="1"/>
      <c r="F44" s="1"/>
      <c r="G44" s="1"/>
      <c r="H44" s="1"/>
    </row>
    <row r="45" spans="1:8" ht="12.75">
      <c r="A45" s="22">
        <f t="shared" si="0"/>
        <v>1721.4344996220677</v>
      </c>
      <c r="B45" s="6">
        <v>562.0405378763929</v>
      </c>
      <c r="C45" s="21">
        <f t="shared" si="2"/>
        <v>493.7052736266459</v>
      </c>
      <c r="D45" s="28">
        <f t="shared" si="1"/>
        <v>-0.0003860566471303173</v>
      </c>
      <c r="F45" s="1"/>
      <c r="G45" s="1"/>
      <c r="H45" s="1"/>
    </row>
    <row r="46" spans="1:8" ht="12.75">
      <c r="A46" s="22">
        <f>A45+B$28/20</f>
        <v>1817.0697496010714</v>
      </c>
      <c r="B46" s="6">
        <v>398.7283738295424</v>
      </c>
      <c r="C46" s="21">
        <f t="shared" si="2"/>
        <v>521.1333443836818</v>
      </c>
      <c r="D46" s="28">
        <f t="shared" si="1"/>
        <v>-0.00018115542297891807</v>
      </c>
      <c r="E46" s="1"/>
      <c r="F46" s="1"/>
      <c r="G46" s="1"/>
      <c r="H46" s="1"/>
    </row>
    <row r="47" spans="1:8" ht="12.75">
      <c r="A47" s="22">
        <f>A46+B$28/40</f>
        <v>1864.8873745905732</v>
      </c>
      <c r="B47" s="6">
        <v>282.3950567077566</v>
      </c>
      <c r="C47" s="21">
        <f t="shared" si="2"/>
        <v>534.8473797621997</v>
      </c>
      <c r="D47" s="28">
        <f t="shared" si="1"/>
        <v>-8.794281961854722E-05</v>
      </c>
      <c r="E47" s="1"/>
      <c r="F47" s="1"/>
      <c r="G47" s="1"/>
      <c r="H47" s="1"/>
    </row>
    <row r="48" spans="1:8" ht="12.75">
      <c r="A48" s="22">
        <f>A47+B$28/80</f>
        <v>1888.7961870853242</v>
      </c>
      <c r="B48" s="6">
        <v>199.84138041978062</v>
      </c>
      <c r="C48" s="21">
        <f t="shared" si="2"/>
        <v>541.7043974514586</v>
      </c>
      <c r="D48" s="28">
        <f t="shared" si="1"/>
        <v>-4.3346800111976336E-05</v>
      </c>
      <c r="E48" s="1"/>
      <c r="F48" s="1"/>
      <c r="G48" s="1"/>
      <c r="H48" s="1"/>
    </row>
    <row r="49" spans="1:8" ht="12.75">
      <c r="A49" s="22">
        <f>B28</f>
        <v>1912.7049995800749</v>
      </c>
      <c r="B49" s="6">
        <v>0.791583099870321</v>
      </c>
      <c r="C49" s="21">
        <f t="shared" si="2"/>
        <v>548.5614151407175</v>
      </c>
      <c r="D49" s="28">
        <f t="shared" si="1"/>
        <v>0.00037453996515068866</v>
      </c>
      <c r="E49" s="1"/>
      <c r="F49" s="1"/>
      <c r="G49" s="1"/>
      <c r="H49" s="1"/>
    </row>
    <row r="50" spans="1:4" ht="12.75">
      <c r="A50" s="13"/>
      <c r="B50" s="2"/>
      <c r="C50" s="12"/>
      <c r="D50" s="2"/>
    </row>
    <row r="51" spans="1:4" ht="12.75">
      <c r="A51" s="23" t="s">
        <v>37</v>
      </c>
      <c r="B51" s="7">
        <v>1732.282461997598</v>
      </c>
      <c r="C51" s="12" t="s">
        <v>5</v>
      </c>
      <c r="D51" s="2"/>
    </row>
    <row r="52" spans="1:4" ht="12.75">
      <c r="A52" s="23" t="s">
        <v>38</v>
      </c>
      <c r="B52" s="29">
        <f>B$51/879/B$31/B$32/SQRT((B$13/B$6/(B$15+460))*(2/(B$13+1))^((B$13+1)/(B$13-1)))</f>
        <v>496.816455744861</v>
      </c>
      <c r="C52" s="12" t="s">
        <v>3</v>
      </c>
      <c r="D52" s="2"/>
    </row>
    <row r="53" spans="1:3" ht="13.5" thickBot="1">
      <c r="A53" s="30" t="s">
        <v>39</v>
      </c>
      <c r="B53" s="31">
        <f>B$51-B$18*(B$17^2-(B$26*B$52^2+(6.67/10000*(B$26-1)*B$27*B$51^2*B$24^2*B$23^2)/(B$7^5*COS(B$10/57.3))))^B$19</f>
        <v>-2.4531861981813563E-06</v>
      </c>
      <c r="C53" s="24"/>
    </row>
    <row r="54" spans="1:4" ht="12.75">
      <c r="A54" s="2"/>
      <c r="B54" s="2"/>
      <c r="C54" s="2"/>
      <c r="D54" s="2"/>
    </row>
  </sheetData>
  <printOptions/>
  <pageMargins left="0.75" right="0.75" top="1" bottom="1" header="0.5" footer="0.5"/>
  <pageSetup horizontalDpi="300" verticalDpi="300" orientation="portrait" r:id="rId7"/>
  <drawing r:id="rId6"/>
  <legacyDrawing r:id="rId5"/>
  <oleObjects>
    <oleObject progId="Equation.3" shapeId="4565168" r:id="rId1"/>
    <oleObject progId="Equation.3" shapeId="4655349" r:id="rId2"/>
    <oleObject progId="Equation.3" shapeId="4792661" r:id="rId3"/>
    <oleObject progId="Equation.3" shapeId="479669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University of Louisiana at Lafayette</cp:lastModifiedBy>
  <dcterms:created xsi:type="dcterms:W3CDTF">2004-05-04T18:47:42Z</dcterms:created>
  <dcterms:modified xsi:type="dcterms:W3CDTF">2004-12-04T17:32:06Z</dcterms:modified>
  <cp:category/>
  <cp:version/>
  <cp:contentType/>
  <cp:contentStatus/>
</cp:coreProperties>
</file>